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 defaultThemeVersion="124226"/>
  <bookViews>
    <workbookView xWindow="240" yWindow="60" windowWidth="20115" windowHeight="8010"/>
  </bookViews>
  <sheets>
    <sheet name="Plan1" sheetId="1" r:id="rId1"/>
  </sheets>
  <calcPr calcId="145621"/>
</workbook>
</file>

<file path=xl/calcChain.xml><?xml version="1.0" encoding="utf-8"?>
<calcChain xmlns="http://schemas.openxmlformats.org/spreadsheetml/2006/main">
  <c r="I17" i="1" l="1"/>
  <c r="I31" i="1" l="1"/>
  <c r="E31" i="1"/>
  <c r="L37" i="1" l="1"/>
  <c r="K37" i="1"/>
  <c r="F35" i="1"/>
  <c r="H35" i="1" s="1"/>
  <c r="C35" i="1"/>
  <c r="E35" i="1" s="1"/>
  <c r="I34" i="1" s="1"/>
  <c r="H37" i="1" l="1"/>
  <c r="L40" i="1" l="1"/>
  <c r="L39" i="1" s="1"/>
  <c r="G40" i="1" s="1"/>
  <c r="C44" i="1" s="1"/>
  <c r="E45" i="1" l="1"/>
  <c r="E52" i="1"/>
  <c r="C53" i="1"/>
  <c r="E46" i="1"/>
  <c r="C52" i="1"/>
  <c r="G58" i="1"/>
  <c r="C51" i="1"/>
  <c r="G45" i="1"/>
  <c r="I52" i="1"/>
  <c r="G44" i="1"/>
  <c r="G54" i="1"/>
  <c r="E55" i="1"/>
  <c r="G52" i="1"/>
  <c r="G50" i="1"/>
  <c r="G49" i="1"/>
  <c r="I55" i="1"/>
  <c r="G47" i="1"/>
  <c r="I54" i="1"/>
  <c r="G46" i="1"/>
  <c r="I53" i="1"/>
  <c r="E58" i="1"/>
  <c r="G57" i="1"/>
  <c r="C50" i="1"/>
  <c r="G56" i="1"/>
  <c r="I51" i="1"/>
  <c r="C49" i="1"/>
  <c r="E50" i="1"/>
  <c r="E57" i="1"/>
  <c r="G55" i="1"/>
  <c r="I50" i="1"/>
  <c r="C48" i="1"/>
  <c r="E47" i="1"/>
  <c r="E56" i="1"/>
  <c r="I49" i="1"/>
  <c r="C47" i="1"/>
  <c r="E44" i="1"/>
  <c r="G53" i="1"/>
  <c r="I48" i="1"/>
  <c r="C46" i="1"/>
  <c r="C58" i="1"/>
  <c r="E54" i="1"/>
  <c r="I47" i="1"/>
  <c r="C45" i="1"/>
  <c r="C57" i="1"/>
  <c r="E53" i="1"/>
  <c r="G51" i="1"/>
  <c r="I46" i="1"/>
  <c r="I58" i="1"/>
  <c r="C56" i="1"/>
  <c r="E51" i="1"/>
  <c r="I45" i="1"/>
  <c r="I57" i="1"/>
  <c r="C55" i="1"/>
  <c r="E49" i="1"/>
  <c r="I44" i="1"/>
  <c r="I56" i="1"/>
  <c r="C54" i="1"/>
  <c r="E48" i="1"/>
  <c r="G48" i="1"/>
  <c r="H41" i="1"/>
</calcChain>
</file>

<file path=xl/sharedStrings.xml><?xml version="1.0" encoding="utf-8"?>
<sst xmlns="http://schemas.openxmlformats.org/spreadsheetml/2006/main" count="131" uniqueCount="120">
  <si>
    <t xml:space="preserve">Nome do Proprietário/Requerente </t>
  </si>
  <si>
    <t>Área EscrituradaTerreno</t>
  </si>
  <si>
    <t>Pessoa Física</t>
  </si>
  <si>
    <t>CPF</t>
  </si>
  <si>
    <t>Pessoa Jurídica</t>
  </si>
  <si>
    <t>CNPJ</t>
  </si>
  <si>
    <t>Nº do Processo</t>
  </si>
  <si>
    <t>Zoneamento</t>
  </si>
  <si>
    <t>Área Construída (Conforme Alvará de Construção)</t>
  </si>
  <si>
    <t>Zona Fiscal - (ZF)  do Lote 
Constante no Carnê do IPTU</t>
  </si>
  <si>
    <t xml:space="preserve">ZF do Lote </t>
  </si>
  <si>
    <t>Referência ZF</t>
  </si>
  <si>
    <t>Informar a referência da Zona Fiscal</t>
  </si>
  <si>
    <t xml:space="preserve">ZF1 = </t>
  </si>
  <si>
    <t xml:space="preserve">ZF2 = </t>
  </si>
  <si>
    <t xml:space="preserve">ZF3 = </t>
  </si>
  <si>
    <t xml:space="preserve">ZF4 = </t>
  </si>
  <si>
    <t>ÁREA DA COMPENSAÇÃO URBANÍSTICA</t>
  </si>
  <si>
    <t>Irregularidade  - Índice Compensação 0,30</t>
  </si>
  <si>
    <t>Área (m²)</t>
  </si>
  <si>
    <t>IC</t>
  </si>
  <si>
    <t>Valor 01</t>
  </si>
  <si>
    <t>Construção em balanço sobre via pública</t>
  </si>
  <si>
    <t>Irregularidade  - Índice Compensação 0,15</t>
  </si>
  <si>
    <t>Irregularidade  - Índice Compensação 0,07</t>
  </si>
  <si>
    <t>Excedente Taxa de Ocupação</t>
  </si>
  <si>
    <t>Edificação (não residencial) abaixo da cota 10m</t>
  </si>
  <si>
    <t>Excedente Coeficiente de Aproveitamento</t>
  </si>
  <si>
    <t>Ambiente com Piso a piso inferior a 2,70m</t>
  </si>
  <si>
    <t>Construção sobre Recuo Frontal</t>
  </si>
  <si>
    <t>Construção sobre Recuo Lateral</t>
  </si>
  <si>
    <t>Construção sobre Recuo Fundos</t>
  </si>
  <si>
    <t>Recuo entre edificações não atende H+H/6</t>
  </si>
  <si>
    <t>Abertura na Divisa ou a menos que 1,50m</t>
  </si>
  <si>
    <t>Falta de vaga Multifuncional (84m²)</t>
  </si>
  <si>
    <t>Falta de vaga para automóvel (23m²)</t>
  </si>
  <si>
    <t>Excede a altura da edificação</t>
  </si>
  <si>
    <t>Falta de vaga para bicicleta (1m²)</t>
  </si>
  <si>
    <t>Excede a altura permitida junto a divisa</t>
  </si>
  <si>
    <t>Área Irregular (m²)</t>
  </si>
  <si>
    <t>VALOR TOTAL</t>
  </si>
  <si>
    <t>Área</t>
  </si>
  <si>
    <t>Valor 02</t>
  </si>
  <si>
    <t>Valor 03</t>
  </si>
  <si>
    <t xml:space="preserve">      Valor a pagar em parcela única</t>
  </si>
  <si>
    <t>FORMA DE PAGAMENTO</t>
  </si>
  <si>
    <t xml:space="preserve">      Número de parcelas desejadas</t>
  </si>
  <si>
    <t>Número de parcelas possíveis</t>
  </si>
  <si>
    <t>Valor Estimado Total a ser pago</t>
  </si>
  <si>
    <t xml:space="preserve">      Valor Estimado das Parcelas</t>
  </si>
  <si>
    <t>1ª  parcela</t>
  </si>
  <si>
    <t>16ª parcela</t>
  </si>
  <si>
    <t>31ª parcela</t>
  </si>
  <si>
    <t>46ª parcela</t>
  </si>
  <si>
    <t>2ª  parcela</t>
  </si>
  <si>
    <t>17ª parcela</t>
  </si>
  <si>
    <t>32ª parcela</t>
  </si>
  <si>
    <t>47ª parcela</t>
  </si>
  <si>
    <t>3ª  parcela</t>
  </si>
  <si>
    <t>18ª parcela</t>
  </si>
  <si>
    <t>33ª parcela</t>
  </si>
  <si>
    <t>48ª parcela</t>
  </si>
  <si>
    <t>4ª  parcela</t>
  </si>
  <si>
    <t>19ª parcela</t>
  </si>
  <si>
    <t>34ª parcela</t>
  </si>
  <si>
    <t>49ª parcela</t>
  </si>
  <si>
    <t>5ª  parcela</t>
  </si>
  <si>
    <t>20ª parcela</t>
  </si>
  <si>
    <t>35ª parcela</t>
  </si>
  <si>
    <t>50ª parcela</t>
  </si>
  <si>
    <t>6ª  parcela</t>
  </si>
  <si>
    <t>21ª parcela</t>
  </si>
  <si>
    <t>36ª parcela</t>
  </si>
  <si>
    <t>51ª parcela</t>
  </si>
  <si>
    <t>7ª parcela</t>
  </si>
  <si>
    <t>22ª parcela</t>
  </si>
  <si>
    <t>37ª parcela</t>
  </si>
  <si>
    <t>52ª parcela</t>
  </si>
  <si>
    <t>8ª parcela</t>
  </si>
  <si>
    <t>23ª parcela</t>
  </si>
  <si>
    <t>38ª parcela</t>
  </si>
  <si>
    <t>53ª parcela</t>
  </si>
  <si>
    <t>9ª parcela</t>
  </si>
  <si>
    <t>24ª parcela</t>
  </si>
  <si>
    <t>39ª parcela</t>
  </si>
  <si>
    <t>54ª parcela</t>
  </si>
  <si>
    <t>10ª parcela</t>
  </si>
  <si>
    <t>25ª parcela</t>
  </si>
  <si>
    <t>40ª parcela</t>
  </si>
  <si>
    <t>55ª parcela</t>
  </si>
  <si>
    <t>11ª parcela</t>
  </si>
  <si>
    <t>26ª parcela</t>
  </si>
  <si>
    <t>41ª parcela</t>
  </si>
  <si>
    <t>56ª parcela</t>
  </si>
  <si>
    <t>12ª parcela</t>
  </si>
  <si>
    <t>27ª parcela</t>
  </si>
  <si>
    <t>42ª parcela</t>
  </si>
  <si>
    <t>57ª parcela</t>
  </si>
  <si>
    <t>13ª parcela</t>
  </si>
  <si>
    <t>28ª parcela</t>
  </si>
  <si>
    <t>43ª parcela</t>
  </si>
  <si>
    <t>58ª parcela</t>
  </si>
  <si>
    <t>14ª parcela</t>
  </si>
  <si>
    <t>29ª parcela</t>
  </si>
  <si>
    <t>44ª parcela</t>
  </si>
  <si>
    <t>59ª parcela</t>
  </si>
  <si>
    <t>15ª parcela</t>
  </si>
  <si>
    <t>30ª parcela</t>
  </si>
  <si>
    <t>45ª parcela</t>
  </si>
  <si>
    <t>60ª parcela</t>
  </si>
  <si>
    <t>ASSINATURA DO PROPRIETÁRIO / REQUERENTE</t>
  </si>
  <si>
    <t>Cálculo</t>
  </si>
  <si>
    <t xml:space="preserve">Falta área permeável </t>
  </si>
  <si>
    <t>Construção sobre o alinhamento predial</t>
  </si>
  <si>
    <t>-</t>
  </si>
  <si>
    <t>IC = 0,3
 VC = A x0,5 VRU x IC x ZF</t>
  </si>
  <si>
    <t>VRU</t>
  </si>
  <si>
    <t>IC = 0,15
 VC = A x 0,5VRU x IC x ZF</t>
  </si>
  <si>
    <t>IC = 0,07
 VC = A x 0,5VRU x IC x ZF</t>
  </si>
  <si>
    <t>CÁLCULO DA COMPENSAÇÃO URBANÍSTICA - 2026 (LC 1146/2017)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</si>
</sst>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&quot;R$&quot;\ 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4"/>
      <name val="Calibri Light"/>
      <family val="2"/>
    </font>
    <font>
      <sz val="20"/>
      <name val="Calibri Light"/>
      <family val="2"/>
    </font>
    <font>
      <b/>
      <sz val="24"/>
      <name val="Calibri Light"/>
      <family val="2"/>
    </font>
    <font>
      <sz val="24"/>
      <color indexed="1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medium">
        <color theme="1" tint="0.499984740745262"/>
      </bottom>
      <diagonal/>
    </border>
    <border>
      <left style="medium">
        <color theme="1" tint="0.499984740745262"/>
      </left>
      <right/>
      <top/>
      <bottom/>
      <diagonal/>
    </border>
    <border>
      <left/>
      <right style="medium">
        <color theme="1" tint="0.499984740745262"/>
      </right>
      <top/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10" xfId="0" applyFont="1" applyFill="1" applyBorder="1" applyAlignment="1" applyProtection="1">
      <alignment horizontal="center" vertical="center" wrapText="1"/>
      <protection hidden="1"/>
    </xf>
    <xf numFmtId="2" fontId="2" fillId="0" borderId="10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2" fillId="0" borderId="18" xfId="0" applyFont="1" applyFill="1" applyBorder="1" applyAlignment="1" applyProtection="1">
      <alignment horizontal="center" vertical="center" wrapText="1"/>
      <protection hidden="1"/>
    </xf>
    <xf numFmtId="0" fontId="2" fillId="3" borderId="6" xfId="0" applyFont="1" applyFill="1" applyBorder="1" applyAlignment="1" applyProtection="1">
      <alignment horizontal="center" vertical="center" wrapText="1"/>
      <protection hidden="1"/>
    </xf>
    <xf numFmtId="0" fontId="2" fillId="3" borderId="18" xfId="0" applyFont="1" applyFill="1" applyBorder="1" applyAlignment="1" applyProtection="1">
      <alignment horizontal="center" vertical="center" wrapText="1"/>
      <protection hidden="1"/>
    </xf>
    <xf numFmtId="0" fontId="2" fillId="3" borderId="13" xfId="0" applyFont="1" applyFill="1" applyBorder="1" applyAlignment="1" applyProtection="1">
      <alignment horizontal="center" vertical="center"/>
      <protection hidden="1"/>
    </xf>
    <xf numFmtId="164" fontId="2" fillId="3" borderId="14" xfId="0" applyNumberFormat="1" applyFont="1" applyFill="1" applyBorder="1" applyAlignment="1" applyProtection="1">
      <alignment horizontal="center" vertical="center"/>
      <protection hidden="1"/>
    </xf>
    <xf numFmtId="0" fontId="2" fillId="0" borderId="20" xfId="0" applyFont="1" applyFill="1" applyBorder="1" applyAlignment="1" applyProtection="1">
      <alignment vertical="center" wrapText="1"/>
      <protection hidden="1"/>
    </xf>
    <xf numFmtId="0" fontId="2" fillId="0" borderId="21" xfId="0" applyFont="1" applyBorder="1" applyAlignment="1" applyProtection="1">
      <alignment vertical="center" wrapText="1"/>
      <protection hidden="1"/>
    </xf>
    <xf numFmtId="0" fontId="2" fillId="2" borderId="11" xfId="0" applyFont="1" applyFill="1" applyBorder="1" applyAlignment="1" applyProtection="1">
      <alignment horizontal="center" vertical="center"/>
      <protection locked="0" hidden="1"/>
    </xf>
    <xf numFmtId="0" fontId="2" fillId="3" borderId="14" xfId="0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4" fillId="0" borderId="23" xfId="0" applyFont="1" applyFill="1" applyBorder="1" applyAlignment="1" applyProtection="1">
      <alignment horizontal="center" vertical="center" wrapText="1"/>
      <protection hidden="1"/>
    </xf>
    <xf numFmtId="0" fontId="2" fillId="3" borderId="24" xfId="0" applyFont="1" applyFill="1" applyBorder="1" applyAlignment="1" applyProtection="1">
      <alignment horizontal="center" vertical="center" wrapText="1"/>
      <protection hidden="1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10" xfId="0" applyFont="1" applyFill="1" applyBorder="1" applyAlignment="1" applyProtection="1">
      <alignment horizontal="center" vertical="center" wrapText="1"/>
      <protection hidden="1"/>
    </xf>
    <xf numFmtId="0" fontId="2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11" xfId="0" applyFont="1" applyFill="1" applyBorder="1" applyAlignment="1" applyProtection="1">
      <alignment horizontal="center" vertical="center" wrapText="1"/>
      <protection hidden="1"/>
    </xf>
    <xf numFmtId="0" fontId="2" fillId="3" borderId="12" xfId="0" applyFont="1" applyFill="1" applyBorder="1" applyAlignment="1" applyProtection="1">
      <alignment horizontal="center" vertical="center"/>
      <protection hidden="1"/>
    </xf>
    <xf numFmtId="164" fontId="2" fillId="0" borderId="1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44" fontId="5" fillId="0" borderId="0" xfId="1" applyFont="1" applyFill="1" applyBorder="1" applyAlignment="1" applyProtection="1">
      <alignment vertical="center"/>
      <protection hidden="1"/>
    </xf>
    <xf numFmtId="164" fontId="2" fillId="0" borderId="0" xfId="0" applyNumberFormat="1" applyFont="1" applyAlignment="1" applyProtection="1">
      <alignment horizontal="left" vertical="center"/>
      <protection hidden="1"/>
    </xf>
    <xf numFmtId="0" fontId="2" fillId="0" borderId="9" xfId="0" applyFont="1" applyFill="1" applyBorder="1" applyAlignment="1" applyProtection="1">
      <alignment horizontal="center" vertical="center"/>
      <protection hidden="1"/>
    </xf>
    <xf numFmtId="44" fontId="2" fillId="4" borderId="10" xfId="0" applyNumberFormat="1" applyFont="1" applyFill="1" applyBorder="1" applyAlignment="1" applyProtection="1">
      <alignment vertical="center"/>
      <protection hidden="1"/>
    </xf>
    <xf numFmtId="0" fontId="2" fillId="0" borderId="10" xfId="0" applyFont="1" applyFill="1" applyBorder="1" applyAlignment="1" applyProtection="1">
      <alignment horizontal="center" vertical="center"/>
      <protection hidden="1"/>
    </xf>
    <xf numFmtId="44" fontId="2" fillId="4" borderId="11" xfId="0" applyNumberFormat="1" applyFont="1" applyFill="1" applyBorder="1" applyAlignment="1" applyProtection="1">
      <alignment vertical="center"/>
      <protection hidden="1"/>
    </xf>
    <xf numFmtId="44" fontId="2" fillId="4" borderId="28" xfId="0" applyNumberFormat="1" applyFont="1" applyFill="1" applyBorder="1" applyAlignment="1" applyProtection="1">
      <alignment vertical="center"/>
      <protection hidden="1"/>
    </xf>
    <xf numFmtId="44" fontId="2" fillId="4" borderId="29" xfId="0" applyNumberFormat="1" applyFont="1" applyFill="1" applyBorder="1" applyAlignment="1" applyProtection="1">
      <alignment vertical="center"/>
      <protection hidden="1"/>
    </xf>
    <xf numFmtId="0" fontId="2" fillId="0" borderId="12" xfId="0" applyFont="1" applyFill="1" applyBorder="1" applyAlignment="1" applyProtection="1">
      <alignment horizontal="center" vertical="center"/>
      <protection hidden="1"/>
    </xf>
    <xf numFmtId="44" fontId="2" fillId="4" borderId="13" xfId="0" applyNumberFormat="1" applyFont="1" applyFill="1" applyBorder="1" applyAlignment="1" applyProtection="1">
      <alignment vertical="center"/>
      <protection hidden="1"/>
    </xf>
    <xf numFmtId="0" fontId="2" fillId="0" borderId="13" xfId="0" applyFont="1" applyFill="1" applyBorder="1" applyAlignment="1" applyProtection="1">
      <alignment horizontal="center" vertical="center"/>
      <protection hidden="1"/>
    </xf>
    <xf numFmtId="44" fontId="2" fillId="4" borderId="14" xfId="0" applyNumberFormat="1" applyFont="1" applyFill="1" applyBorder="1" applyAlignment="1" applyProtection="1">
      <alignment vertical="center"/>
      <protection hidden="1"/>
    </xf>
    <xf numFmtId="44" fontId="2" fillId="3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Protection="1"/>
    <xf numFmtId="44" fontId="2" fillId="3" borderId="21" xfId="0" applyNumberFormat="1" applyFont="1" applyFill="1" applyBorder="1" applyAlignment="1" applyProtection="1">
      <alignment horizontal="center" vertical="center"/>
      <protection hidden="1"/>
    </xf>
    <xf numFmtId="0" fontId="2" fillId="0" borderId="30" xfId="0" applyFont="1" applyBorder="1" applyAlignment="1" applyProtection="1">
      <alignment vertical="center"/>
      <protection hidden="1"/>
    </xf>
    <xf numFmtId="0" fontId="2" fillId="0" borderId="31" xfId="0" applyFont="1" applyBorder="1" applyAlignment="1" applyProtection="1">
      <alignment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2" fillId="0" borderId="32" xfId="0" applyFont="1" applyBorder="1" applyAlignment="1" applyProtection="1">
      <alignment vertical="center"/>
      <protection hidden="1"/>
    </xf>
    <xf numFmtId="0" fontId="2" fillId="2" borderId="36" xfId="0" applyFont="1" applyFill="1" applyBorder="1" applyAlignment="1" applyProtection="1">
      <alignment horizontal="center" vertical="center"/>
      <protection locked="0" hidden="1"/>
    </xf>
    <xf numFmtId="4" fontId="2" fillId="3" borderId="26" xfId="0" applyNumberFormat="1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vertical="center"/>
      <protection locked="0" hidden="1"/>
    </xf>
    <xf numFmtId="0" fontId="2" fillId="5" borderId="3" xfId="0" applyFont="1" applyFill="1" applyBorder="1" applyAlignment="1" applyProtection="1">
      <alignment horizontal="center" vertical="center"/>
      <protection locked="0" hidden="1"/>
    </xf>
    <xf numFmtId="0" fontId="2" fillId="5" borderId="3" xfId="0" applyFont="1" applyFill="1" applyBorder="1" applyAlignment="1" applyProtection="1">
      <alignment vertical="center"/>
      <protection locked="0" hidden="1"/>
    </xf>
    <xf numFmtId="0" fontId="2" fillId="5" borderId="14" xfId="0" applyFont="1" applyFill="1" applyBorder="1" applyAlignment="1" applyProtection="1">
      <alignment horizontal="center" vertical="center"/>
      <protection locked="0" hidden="1"/>
    </xf>
    <xf numFmtId="0" fontId="2" fillId="5" borderId="11" xfId="0" applyFont="1" applyFill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2" fillId="0" borderId="12" xfId="0" applyFont="1" applyFill="1" applyBorder="1" applyAlignment="1" applyProtection="1">
      <alignment horizontal="left" vertical="center"/>
      <protection hidden="1"/>
    </xf>
    <xf numFmtId="0" fontId="2" fillId="0" borderId="13" xfId="0" applyFont="1" applyFill="1" applyBorder="1" applyAlignment="1" applyProtection="1">
      <alignment horizontal="left" vertical="center"/>
      <protection hidden="1"/>
    </xf>
    <xf numFmtId="0" fontId="4" fillId="5" borderId="1" xfId="0" applyFont="1" applyFill="1" applyBorder="1" applyAlignment="1" applyProtection="1">
      <alignment horizontal="center" vertical="center" wrapText="1"/>
      <protection hidden="1"/>
    </xf>
    <xf numFmtId="0" fontId="4" fillId="5" borderId="2" xfId="0" applyFont="1" applyFill="1" applyBorder="1" applyAlignment="1" applyProtection="1">
      <alignment horizontal="center" vertical="center" wrapText="1"/>
      <protection hidden="1"/>
    </xf>
    <xf numFmtId="0" fontId="4" fillId="5" borderId="3" xfId="0" applyFont="1" applyFill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locked="0"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5" borderId="1" xfId="0" applyFont="1" applyFill="1" applyBorder="1" applyAlignment="1" applyProtection="1">
      <alignment horizontal="center" vertical="center"/>
      <protection locked="0" hidden="1"/>
    </xf>
    <xf numFmtId="0" fontId="2" fillId="5" borderId="2" xfId="0" applyFont="1" applyFill="1" applyBorder="1" applyAlignment="1" applyProtection="1">
      <alignment horizontal="center" vertical="center"/>
      <protection locked="0" hidden="1"/>
    </xf>
    <xf numFmtId="0" fontId="2" fillId="5" borderId="3" xfId="0" applyFont="1" applyFill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9" xfId="0" applyFont="1" applyBorder="1" applyAlignment="1" applyProtection="1">
      <alignment horizontal="center" vertical="center" wrapText="1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2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 wrapText="1"/>
      <protection hidden="1"/>
    </xf>
    <xf numFmtId="0" fontId="2" fillId="5" borderId="10" xfId="0" applyFont="1" applyFill="1" applyBorder="1" applyAlignment="1" applyProtection="1">
      <alignment horizontal="center" vertical="center" wrapText="1"/>
      <protection locked="0" hidden="1"/>
    </xf>
    <xf numFmtId="0" fontId="2" fillId="5" borderId="11" xfId="0" applyFont="1" applyFill="1" applyBorder="1" applyAlignment="1" applyProtection="1">
      <alignment horizontal="center" vertical="center" wrapText="1"/>
      <protection locked="0" hidden="1"/>
    </xf>
    <xf numFmtId="0" fontId="2" fillId="5" borderId="13" xfId="0" applyFont="1" applyFill="1" applyBorder="1" applyAlignment="1" applyProtection="1">
      <alignment horizontal="center" vertical="center" wrapText="1"/>
      <protection locked="0" hidden="1"/>
    </xf>
    <xf numFmtId="0" fontId="2" fillId="5" borderId="14" xfId="0" applyFont="1" applyFill="1" applyBorder="1" applyAlignment="1" applyProtection="1">
      <alignment horizontal="center" vertical="center" wrapText="1"/>
      <protection locked="0" hidden="1"/>
    </xf>
    <xf numFmtId="0" fontId="2" fillId="5" borderId="15" xfId="0" applyFont="1" applyFill="1" applyBorder="1" applyAlignment="1" applyProtection="1">
      <alignment horizontal="center" vertical="center"/>
      <protection hidden="1"/>
    </xf>
    <xf numFmtId="0" fontId="2" fillId="5" borderId="16" xfId="0" applyFont="1" applyFill="1" applyBorder="1" applyAlignment="1" applyProtection="1">
      <alignment horizontal="center" vertical="center"/>
      <protection hidden="1"/>
    </xf>
    <xf numFmtId="0" fontId="2" fillId="5" borderId="17" xfId="0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left" vertical="center"/>
      <protection hidden="1"/>
    </xf>
    <xf numFmtId="0" fontId="2" fillId="0" borderId="10" xfId="0" applyFont="1" applyFill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2" fillId="0" borderId="10" xfId="0" applyFont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0" fontId="4" fillId="0" borderId="24" xfId="0" applyFont="1" applyBorder="1" applyAlignment="1" applyProtection="1">
      <alignment horizontal="center" vertical="center"/>
      <protection hidden="1"/>
    </xf>
    <xf numFmtId="0" fontId="4" fillId="0" borderId="37" xfId="0" applyFont="1" applyBorder="1" applyAlignment="1" applyProtection="1">
      <alignment horizontal="center" vertical="center"/>
      <protection hidden="1"/>
    </xf>
    <xf numFmtId="0" fontId="4" fillId="0" borderId="38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164" fontId="4" fillId="0" borderId="25" xfId="0" applyNumberFormat="1" applyFont="1" applyFill="1" applyBorder="1" applyAlignment="1" applyProtection="1">
      <alignment horizontal="center" vertical="center"/>
      <protection hidden="1"/>
    </xf>
    <xf numFmtId="164" fontId="4" fillId="0" borderId="27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left" vertical="center"/>
      <protection hidden="1"/>
    </xf>
    <xf numFmtId="0" fontId="2" fillId="0" borderId="2" xfId="0" applyFont="1" applyFill="1" applyBorder="1" applyAlignment="1" applyProtection="1">
      <alignment horizontal="left" vertical="center"/>
      <protection hidden="1"/>
    </xf>
    <xf numFmtId="44" fontId="2" fillId="0" borderId="2" xfId="1" applyFont="1" applyFill="1" applyBorder="1" applyAlignment="1" applyProtection="1">
      <alignment horizontal="center" vertical="center"/>
      <protection hidden="1"/>
    </xf>
    <xf numFmtId="44" fontId="2" fillId="0" borderId="3" xfId="1" applyFont="1" applyFill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37" xfId="0" applyFont="1" applyBorder="1" applyAlignment="1" applyProtection="1">
      <alignment horizontal="center" vertical="center"/>
      <protection hidden="1"/>
    </xf>
    <xf numFmtId="0" fontId="2" fillId="0" borderId="38" xfId="0" applyFont="1" applyBorder="1" applyAlignment="1" applyProtection="1">
      <alignment horizontal="center" vertical="center"/>
      <protection hidden="1"/>
    </xf>
    <xf numFmtId="0" fontId="2" fillId="0" borderId="18" xfId="0" applyFont="1" applyFill="1" applyBorder="1" applyAlignment="1" applyProtection="1">
      <alignment horizontal="center" vertical="center"/>
      <protection hidden="1"/>
    </xf>
    <xf numFmtId="0" fontId="2" fillId="0" borderId="33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/>
      <protection hidden="1"/>
    </xf>
    <xf numFmtId="0" fontId="2" fillId="0" borderId="35" xfId="0" applyFont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hidden="1"/>
    </xf>
    <xf numFmtId="0" fontId="2" fillId="0" borderId="10" xfId="0" applyFont="1" applyFill="1" applyBorder="1" applyAlignment="1" applyProtection="1">
      <alignment horizontal="center" vertical="center" wrapText="1"/>
      <protection hidden="1"/>
    </xf>
    <xf numFmtId="0" fontId="2" fillId="0" borderId="12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Fill="1" applyBorder="1" applyAlignment="1" applyProtection="1">
      <alignment horizontal="center" vertical="center" wrapText="1"/>
      <protection hidden="1"/>
    </xf>
    <xf numFmtId="0" fontId="2" fillId="5" borderId="10" xfId="0" applyFont="1" applyFill="1" applyBorder="1" applyAlignment="1" applyProtection="1">
      <alignment horizontal="center" vertical="center"/>
      <protection locked="0" hidden="1"/>
    </xf>
    <xf numFmtId="0" fontId="2" fillId="5" borderId="13" xfId="0" applyFont="1" applyFill="1" applyBorder="1" applyAlignment="1" applyProtection="1">
      <alignment horizontal="center" vertical="center"/>
      <protection locked="0" hidden="1"/>
    </xf>
    <xf numFmtId="0" fontId="2" fillId="0" borderId="10" xfId="0" applyFont="1" applyFill="1" applyBorder="1" applyAlignment="1" applyProtection="1">
      <alignment horizontal="center" vertical="center"/>
      <protection hidden="1"/>
    </xf>
    <xf numFmtId="0" fontId="2" fillId="0" borderId="13" xfId="0" applyFont="1" applyFill="1" applyBorder="1" applyAlignment="1" applyProtection="1">
      <alignment horizontal="center" vertical="center"/>
      <protection hidden="1"/>
    </xf>
    <xf numFmtId="0" fontId="2" fillId="3" borderId="10" xfId="0" applyFont="1" applyFill="1" applyBorder="1" applyAlignment="1" applyProtection="1">
      <alignment horizontal="center" vertical="center"/>
      <protection hidden="1"/>
    </xf>
    <xf numFmtId="0" fontId="2" fillId="3" borderId="11" xfId="0" applyFont="1" applyFill="1" applyBorder="1" applyAlignment="1" applyProtection="1">
      <alignment horizontal="center" vertical="center"/>
      <protection hidden="1"/>
    </xf>
    <xf numFmtId="44" fontId="2" fillId="3" borderId="13" xfId="0" applyNumberFormat="1" applyFont="1" applyFill="1" applyBorder="1" applyAlignment="1" applyProtection="1">
      <alignment horizontal="left" vertical="center"/>
      <protection hidden="1"/>
    </xf>
    <xf numFmtId="44" fontId="2" fillId="3" borderId="14" xfId="0" applyNumberFormat="1" applyFont="1" applyFill="1" applyBorder="1" applyAlignment="1" applyProtection="1">
      <alignment horizontal="left" vertical="center"/>
      <protection hidden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L61"/>
  <sheetViews>
    <sheetView tabSelected="1" topLeftCell="A13" zoomScale="55" zoomScaleNormal="55" workbookViewId="0">
      <selection activeCell="M1" sqref="M1:XFD1048576"/>
    </sheetView>
  </sheetViews>
  <sheetFormatPr defaultRowHeight="31.5" x14ac:dyDescent="0.25"/>
  <cols>
    <col min="1" max="1" width="5.7109375" style="60" customWidth="1"/>
    <col min="2" max="9" width="35.7109375" style="60" customWidth="1"/>
    <col min="10" max="11" width="9.140625" style="1" hidden="1" customWidth="1"/>
    <col min="12" max="12" width="59.28515625" style="1" hidden="1" customWidth="1"/>
    <col min="13" max="17" width="9.140625" style="60" customWidth="1"/>
    <col min="18" max="18" width="29.5703125" style="60" customWidth="1"/>
    <col min="19" max="19" width="9.85546875" style="60" bestFit="1" customWidth="1"/>
    <col min="20" max="28" width="9.140625" style="60"/>
    <col min="29" max="29" width="19.140625" style="60" bestFit="1" customWidth="1"/>
    <col min="30" max="16384" width="9.140625" style="60"/>
  </cols>
  <sheetData>
    <row r="1" spans="1:9" ht="50.1" customHeight="1" thickBot="1" x14ac:dyDescent="0.3">
      <c r="A1" s="1"/>
      <c r="B1" s="67" t="s">
        <v>119</v>
      </c>
      <c r="C1" s="68"/>
      <c r="D1" s="68"/>
      <c r="E1" s="68"/>
      <c r="F1" s="68"/>
      <c r="G1" s="68"/>
      <c r="H1" s="68"/>
      <c r="I1" s="69"/>
    </row>
    <row r="2" spans="1:9" ht="12" customHeight="1" thickBot="1" x14ac:dyDescent="0.3">
      <c r="A2" s="1"/>
      <c r="B2" s="2"/>
      <c r="C2" s="2"/>
      <c r="D2" s="2"/>
      <c r="E2" s="2"/>
      <c r="F2" s="2"/>
      <c r="G2" s="2"/>
      <c r="H2" s="2"/>
      <c r="I2" s="2"/>
    </row>
    <row r="3" spans="1:9" ht="50.1" customHeight="1" thickBot="1" x14ac:dyDescent="0.3">
      <c r="A3" s="1"/>
      <c r="B3" s="70" t="s">
        <v>0</v>
      </c>
      <c r="C3" s="70"/>
      <c r="D3" s="71"/>
      <c r="E3" s="71"/>
      <c r="F3" s="71"/>
      <c r="G3" s="72" t="s">
        <v>1</v>
      </c>
      <c r="H3" s="72"/>
      <c r="I3" s="55"/>
    </row>
    <row r="4" spans="1:9" ht="12" customHeight="1" thickBot="1" x14ac:dyDescent="0.3">
      <c r="A4" s="1"/>
      <c r="B4" s="3"/>
      <c r="C4" s="3"/>
      <c r="D4" s="2"/>
      <c r="E4" s="2"/>
      <c r="F4" s="2"/>
      <c r="G4" s="2"/>
      <c r="H4" s="2"/>
      <c r="I4" s="4"/>
    </row>
    <row r="5" spans="1:9" ht="50.1" customHeight="1" thickBot="1" x14ac:dyDescent="0.3">
      <c r="A5" s="1"/>
      <c r="B5" s="5" t="s">
        <v>2</v>
      </c>
      <c r="C5" s="6" t="s">
        <v>3</v>
      </c>
      <c r="D5" s="73"/>
      <c r="E5" s="74"/>
      <c r="F5" s="5" t="s">
        <v>4</v>
      </c>
      <c r="G5" s="6" t="s">
        <v>5</v>
      </c>
      <c r="H5" s="73"/>
      <c r="I5" s="75"/>
    </row>
    <row r="6" spans="1:9" ht="12" customHeight="1" thickBot="1" x14ac:dyDescent="0.3">
      <c r="A6" s="1"/>
      <c r="B6" s="3"/>
      <c r="C6" s="3"/>
      <c r="D6" s="2"/>
      <c r="E6" s="2"/>
      <c r="F6" s="2"/>
      <c r="G6" s="2"/>
      <c r="H6" s="2"/>
      <c r="I6" s="4"/>
    </row>
    <row r="7" spans="1:9" ht="50.1" customHeight="1" thickBot="1" x14ac:dyDescent="0.3">
      <c r="A7" s="1"/>
      <c r="B7" s="5" t="s">
        <v>6</v>
      </c>
      <c r="C7" s="55"/>
      <c r="D7" s="7" t="s">
        <v>7</v>
      </c>
      <c r="E7" s="56"/>
      <c r="F7" s="76" t="s">
        <v>8</v>
      </c>
      <c r="G7" s="77"/>
      <c r="H7" s="78"/>
      <c r="I7" s="57"/>
    </row>
    <row r="8" spans="1:9" ht="12" customHeight="1" thickBot="1" x14ac:dyDescent="0.3">
      <c r="A8" s="1"/>
      <c r="B8" s="2"/>
      <c r="C8" s="2"/>
      <c r="D8" s="2"/>
      <c r="E8" s="2"/>
      <c r="F8" s="2"/>
      <c r="G8" s="2"/>
      <c r="H8" s="2"/>
      <c r="I8" s="4"/>
    </row>
    <row r="9" spans="1:9" ht="50.1" customHeight="1" x14ac:dyDescent="0.25">
      <c r="A9" s="1"/>
      <c r="B9" s="79" t="s">
        <v>9</v>
      </c>
      <c r="C9" s="80"/>
      <c r="D9" s="80"/>
      <c r="E9" s="8" t="s">
        <v>10</v>
      </c>
      <c r="F9" s="8" t="s">
        <v>11</v>
      </c>
      <c r="G9" s="85" t="s">
        <v>12</v>
      </c>
      <c r="H9" s="85"/>
      <c r="I9" s="86"/>
    </row>
    <row r="10" spans="1:9" ht="50.1" customHeight="1" x14ac:dyDescent="0.25">
      <c r="A10" s="1"/>
      <c r="B10" s="81"/>
      <c r="C10" s="82"/>
      <c r="D10" s="82"/>
      <c r="E10" s="9" t="s">
        <v>13</v>
      </c>
      <c r="F10" s="10">
        <v>1</v>
      </c>
      <c r="G10" s="87">
        <v>1</v>
      </c>
      <c r="H10" s="87"/>
      <c r="I10" s="88"/>
    </row>
    <row r="11" spans="1:9" ht="50.1" customHeight="1" x14ac:dyDescent="0.25">
      <c r="A11" s="1"/>
      <c r="B11" s="81"/>
      <c r="C11" s="82"/>
      <c r="D11" s="82"/>
      <c r="E11" s="9" t="s">
        <v>14</v>
      </c>
      <c r="F11" s="10">
        <v>0.75</v>
      </c>
      <c r="G11" s="87"/>
      <c r="H11" s="87"/>
      <c r="I11" s="88"/>
    </row>
    <row r="12" spans="1:9" ht="50.1" customHeight="1" x14ac:dyDescent="0.25">
      <c r="A12" s="1"/>
      <c r="B12" s="81"/>
      <c r="C12" s="82"/>
      <c r="D12" s="82"/>
      <c r="E12" s="9" t="s">
        <v>15</v>
      </c>
      <c r="F12" s="10">
        <v>0.5</v>
      </c>
      <c r="G12" s="87"/>
      <c r="H12" s="87"/>
      <c r="I12" s="88"/>
    </row>
    <row r="13" spans="1:9" ht="50.1" customHeight="1" thickBot="1" x14ac:dyDescent="0.3">
      <c r="A13" s="1"/>
      <c r="B13" s="83"/>
      <c r="C13" s="84"/>
      <c r="D13" s="84"/>
      <c r="E13" s="11" t="s">
        <v>16</v>
      </c>
      <c r="F13" s="11">
        <v>0.25</v>
      </c>
      <c r="G13" s="89"/>
      <c r="H13" s="89"/>
      <c r="I13" s="90"/>
    </row>
    <row r="14" spans="1:9" ht="12" customHeight="1" thickBot="1" x14ac:dyDescent="0.3">
      <c r="A14" s="1"/>
      <c r="B14" s="12"/>
      <c r="C14" s="12"/>
      <c r="D14" s="12"/>
      <c r="E14" s="12"/>
      <c r="F14" s="3"/>
      <c r="G14" s="3"/>
      <c r="H14" s="4"/>
      <c r="I14" s="4"/>
    </row>
    <row r="15" spans="1:9" ht="50.1" customHeight="1" thickBot="1" x14ac:dyDescent="0.3">
      <c r="A15" s="1"/>
      <c r="B15" s="91" t="s">
        <v>17</v>
      </c>
      <c r="C15" s="92"/>
      <c r="D15" s="92"/>
      <c r="E15" s="92"/>
      <c r="F15" s="92"/>
      <c r="G15" s="92"/>
      <c r="H15" s="92"/>
      <c r="I15" s="93"/>
    </row>
    <row r="16" spans="1:9" ht="50.1" customHeight="1" x14ac:dyDescent="0.25">
      <c r="A16" s="1"/>
      <c r="B16" s="61" t="s">
        <v>18</v>
      </c>
      <c r="C16" s="62"/>
      <c r="D16" s="62"/>
      <c r="E16" s="13" t="s">
        <v>19</v>
      </c>
      <c r="F16" s="63" t="s">
        <v>115</v>
      </c>
      <c r="G16" s="26" t="s">
        <v>116</v>
      </c>
      <c r="H16" s="14" t="s">
        <v>20</v>
      </c>
      <c r="I16" s="15" t="s">
        <v>21</v>
      </c>
    </row>
    <row r="17" spans="1:9" ht="50.1" customHeight="1" thickBot="1" x14ac:dyDescent="0.3">
      <c r="A17" s="1"/>
      <c r="B17" s="65" t="s">
        <v>22</v>
      </c>
      <c r="C17" s="66"/>
      <c r="D17" s="66"/>
      <c r="E17" s="58"/>
      <c r="F17" s="64"/>
      <c r="G17" s="54">
        <v>3008.84</v>
      </c>
      <c r="H17" s="16">
        <v>0.3</v>
      </c>
      <c r="I17" s="17">
        <f>(E17*(0.5*G17)*H17*G10)</f>
        <v>0</v>
      </c>
    </row>
    <row r="18" spans="1:9" ht="12" customHeight="1" thickBot="1" x14ac:dyDescent="0.3">
      <c r="A18" s="1"/>
      <c r="B18" s="18"/>
      <c r="C18" s="12"/>
      <c r="D18" s="12"/>
      <c r="E18" s="12"/>
      <c r="F18" s="3"/>
      <c r="G18" s="3"/>
      <c r="H18" s="4"/>
      <c r="I18" s="19"/>
    </row>
    <row r="19" spans="1:9" ht="50.1" customHeight="1" x14ac:dyDescent="0.25">
      <c r="A19" s="1"/>
      <c r="B19" s="61" t="s">
        <v>23</v>
      </c>
      <c r="C19" s="62"/>
      <c r="D19" s="62"/>
      <c r="E19" s="13" t="s">
        <v>19</v>
      </c>
      <c r="F19" s="61" t="s">
        <v>24</v>
      </c>
      <c r="G19" s="62"/>
      <c r="H19" s="62"/>
      <c r="I19" s="13" t="s">
        <v>19</v>
      </c>
    </row>
    <row r="20" spans="1:9" ht="50.1" customHeight="1" x14ac:dyDescent="0.25">
      <c r="A20" s="1"/>
      <c r="B20" s="94" t="s">
        <v>25</v>
      </c>
      <c r="C20" s="95"/>
      <c r="D20" s="95"/>
      <c r="E20" s="59"/>
      <c r="F20" s="96" t="s">
        <v>26</v>
      </c>
      <c r="G20" s="97"/>
      <c r="H20" s="97"/>
      <c r="I20" s="59"/>
    </row>
    <row r="21" spans="1:9" ht="50.1" customHeight="1" x14ac:dyDescent="0.25">
      <c r="A21" s="1"/>
      <c r="B21" s="94" t="s">
        <v>27</v>
      </c>
      <c r="C21" s="95"/>
      <c r="D21" s="95"/>
      <c r="E21" s="59"/>
      <c r="F21" s="96" t="s">
        <v>28</v>
      </c>
      <c r="G21" s="97"/>
      <c r="H21" s="97"/>
      <c r="I21" s="59"/>
    </row>
    <row r="22" spans="1:9" ht="50.1" customHeight="1" x14ac:dyDescent="0.25">
      <c r="A22" s="1"/>
      <c r="B22" s="94" t="s">
        <v>29</v>
      </c>
      <c r="C22" s="95"/>
      <c r="D22" s="95"/>
      <c r="E22" s="59"/>
      <c r="F22" s="98" t="s">
        <v>112</v>
      </c>
      <c r="G22" s="99"/>
      <c r="H22" s="99"/>
      <c r="I22" s="59"/>
    </row>
    <row r="23" spans="1:9" ht="50.1" customHeight="1" x14ac:dyDescent="0.25">
      <c r="A23" s="1"/>
      <c r="B23" s="94" t="s">
        <v>30</v>
      </c>
      <c r="C23" s="95"/>
      <c r="D23" s="95"/>
      <c r="E23" s="59"/>
      <c r="F23" s="98" t="s">
        <v>34</v>
      </c>
      <c r="G23" s="99"/>
      <c r="H23" s="99"/>
      <c r="I23" s="59"/>
    </row>
    <row r="24" spans="1:9" ht="50.1" customHeight="1" x14ac:dyDescent="0.25">
      <c r="A24" s="1"/>
      <c r="B24" s="94" t="s">
        <v>31</v>
      </c>
      <c r="C24" s="95"/>
      <c r="D24" s="95"/>
      <c r="E24" s="59"/>
      <c r="F24" s="98" t="s">
        <v>35</v>
      </c>
      <c r="G24" s="99"/>
      <c r="H24" s="99"/>
      <c r="I24" s="59"/>
    </row>
    <row r="25" spans="1:9" ht="50.1" customHeight="1" x14ac:dyDescent="0.25">
      <c r="A25" s="1"/>
      <c r="B25" s="94" t="s">
        <v>32</v>
      </c>
      <c r="C25" s="95"/>
      <c r="D25" s="95"/>
      <c r="E25" s="59"/>
      <c r="F25" s="98" t="s">
        <v>37</v>
      </c>
      <c r="G25" s="99"/>
      <c r="H25" s="99"/>
      <c r="I25" s="59"/>
    </row>
    <row r="26" spans="1:9" ht="50.1" customHeight="1" x14ac:dyDescent="0.25">
      <c r="A26" s="1"/>
      <c r="B26" s="94" t="s">
        <v>33</v>
      </c>
      <c r="C26" s="95"/>
      <c r="D26" s="95"/>
      <c r="E26" s="59"/>
      <c r="F26" s="100" t="s">
        <v>114</v>
      </c>
      <c r="G26" s="101"/>
      <c r="H26" s="102"/>
      <c r="I26" s="59"/>
    </row>
    <row r="27" spans="1:9" ht="50.1" customHeight="1" x14ac:dyDescent="0.25">
      <c r="A27" s="1"/>
      <c r="B27" s="94" t="s">
        <v>113</v>
      </c>
      <c r="C27" s="95"/>
      <c r="D27" s="95"/>
      <c r="E27" s="59"/>
      <c r="F27" s="100" t="s">
        <v>114</v>
      </c>
      <c r="G27" s="101"/>
      <c r="H27" s="102"/>
      <c r="I27" s="59"/>
    </row>
    <row r="28" spans="1:9" ht="50.1" customHeight="1" x14ac:dyDescent="0.25">
      <c r="A28" s="1"/>
      <c r="B28" s="94" t="s">
        <v>36</v>
      </c>
      <c r="C28" s="95"/>
      <c r="D28" s="95"/>
      <c r="E28" s="59"/>
      <c r="F28" s="100" t="s">
        <v>114</v>
      </c>
      <c r="G28" s="101"/>
      <c r="H28" s="102"/>
      <c r="I28" s="59"/>
    </row>
    <row r="29" spans="1:9" ht="50.1" customHeight="1" x14ac:dyDescent="0.25">
      <c r="A29" s="1"/>
      <c r="B29" s="94" t="s">
        <v>38</v>
      </c>
      <c r="C29" s="95"/>
      <c r="D29" s="95"/>
      <c r="E29" s="59"/>
      <c r="F29" s="100" t="s">
        <v>114</v>
      </c>
      <c r="G29" s="101"/>
      <c r="H29" s="102"/>
      <c r="I29" s="59"/>
    </row>
    <row r="30" spans="1:9" ht="50.1" hidden="1" customHeight="1" x14ac:dyDescent="0.25">
      <c r="A30" s="1"/>
      <c r="B30" s="94"/>
      <c r="C30" s="95"/>
      <c r="D30" s="95"/>
      <c r="E30" s="20"/>
      <c r="F30" s="114" t="s">
        <v>114</v>
      </c>
      <c r="G30" s="115"/>
      <c r="H30" s="116"/>
      <c r="I30" s="53"/>
    </row>
    <row r="31" spans="1:9" ht="50.1" customHeight="1" thickBot="1" x14ac:dyDescent="0.3">
      <c r="A31" s="1"/>
      <c r="B31" s="103" t="s">
        <v>39</v>
      </c>
      <c r="C31" s="104"/>
      <c r="D31" s="104"/>
      <c r="E31" s="21">
        <f>SUM(E20:E29)</f>
        <v>0</v>
      </c>
      <c r="F31" s="103" t="s">
        <v>39</v>
      </c>
      <c r="G31" s="104"/>
      <c r="H31" s="104"/>
      <c r="I31" s="21">
        <f>SUM(I20:I29)</f>
        <v>0</v>
      </c>
    </row>
    <row r="32" spans="1:9" ht="12" customHeight="1" thickBot="1" x14ac:dyDescent="0.3">
      <c r="A32" s="1"/>
      <c r="B32" s="22"/>
      <c r="C32" s="22"/>
      <c r="D32" s="22"/>
      <c r="E32" s="22"/>
      <c r="F32" s="3"/>
      <c r="G32" s="3"/>
      <c r="H32" s="23"/>
      <c r="I32" s="4"/>
    </row>
    <row r="33" spans="1:12" ht="50.1" customHeight="1" x14ac:dyDescent="0.25">
      <c r="A33" s="1"/>
      <c r="B33" s="24" t="s">
        <v>111</v>
      </c>
      <c r="C33" s="105" t="s">
        <v>117</v>
      </c>
      <c r="D33" s="106"/>
      <c r="E33" s="107"/>
      <c r="F33" s="105" t="s">
        <v>118</v>
      </c>
      <c r="G33" s="106"/>
      <c r="H33" s="107"/>
      <c r="I33" s="25" t="s">
        <v>40</v>
      </c>
    </row>
    <row r="34" spans="1:12" ht="50.1" customHeight="1" x14ac:dyDescent="0.25">
      <c r="A34" s="1"/>
      <c r="B34" s="26" t="s">
        <v>116</v>
      </c>
      <c r="C34" s="27" t="s">
        <v>41</v>
      </c>
      <c r="D34" s="28" t="s">
        <v>20</v>
      </c>
      <c r="E34" s="29" t="s">
        <v>42</v>
      </c>
      <c r="F34" s="27" t="s">
        <v>41</v>
      </c>
      <c r="G34" s="28" t="s">
        <v>20</v>
      </c>
      <c r="H34" s="30" t="s">
        <v>43</v>
      </c>
      <c r="I34" s="108">
        <f>IF((I17+E35+H35)&lt;902.65,902.65,($I17+E35+H35))</f>
        <v>902.65</v>
      </c>
    </row>
    <row r="35" spans="1:12" ht="50.1" customHeight="1" thickBot="1" x14ac:dyDescent="0.3">
      <c r="A35" s="1"/>
      <c r="B35" s="54">
        <v>3008.84</v>
      </c>
      <c r="C35" s="31">
        <f>E31</f>
        <v>0</v>
      </c>
      <c r="D35" s="16">
        <v>0.15</v>
      </c>
      <c r="E35" s="17">
        <f>(G10*(B35*0.5)*C35*D35)</f>
        <v>0</v>
      </c>
      <c r="F35" s="31">
        <f>I31</f>
        <v>0</v>
      </c>
      <c r="G35" s="16">
        <v>7.0000000000000007E-2</v>
      </c>
      <c r="H35" s="32">
        <f>(G10*(B35*0.5)*F35*G35)</f>
        <v>0</v>
      </c>
      <c r="I35" s="109"/>
    </row>
    <row r="36" spans="1:12" ht="12" customHeight="1" thickBot="1" x14ac:dyDescent="0.3">
      <c r="A36" s="1"/>
      <c r="B36" s="22"/>
      <c r="C36" s="22"/>
      <c r="D36" s="3"/>
      <c r="E36" s="3"/>
      <c r="F36" s="22"/>
      <c r="G36" s="22"/>
      <c r="H36" s="3"/>
      <c r="I36" s="3"/>
    </row>
    <row r="37" spans="1:12" ht="50.1" customHeight="1" thickBot="1" x14ac:dyDescent="0.3">
      <c r="A37" s="1"/>
      <c r="B37" s="110" t="s">
        <v>44</v>
      </c>
      <c r="C37" s="111"/>
      <c r="D37" s="111"/>
      <c r="E37" s="111"/>
      <c r="F37" s="111"/>
      <c r="G37" s="111"/>
      <c r="H37" s="112">
        <f>I34</f>
        <v>902.65</v>
      </c>
      <c r="I37" s="113"/>
      <c r="K37" s="1">
        <f>IF(D5&gt;0, 20,50)</f>
        <v>50</v>
      </c>
      <c r="L37" s="1">
        <f>IF(D40&lt;=60,D40,60)</f>
        <v>0</v>
      </c>
    </row>
    <row r="38" spans="1:12" ht="12" customHeight="1" thickBot="1" x14ac:dyDescent="0.3">
      <c r="A38" s="1"/>
      <c r="B38" s="33"/>
      <c r="C38" s="33"/>
      <c r="D38" s="33"/>
      <c r="E38" s="33"/>
      <c r="F38" s="33"/>
      <c r="G38" s="33"/>
      <c r="H38" s="33"/>
      <c r="I38" s="34"/>
    </row>
    <row r="39" spans="1:12" ht="50.1" customHeight="1" x14ac:dyDescent="0.25">
      <c r="A39" s="1"/>
      <c r="B39" s="91" t="s">
        <v>45</v>
      </c>
      <c r="C39" s="92"/>
      <c r="D39" s="92"/>
      <c r="E39" s="92"/>
      <c r="F39" s="92"/>
      <c r="G39" s="92"/>
      <c r="H39" s="92"/>
      <c r="I39" s="93"/>
      <c r="L39" s="1" t="e">
        <f>IF(I34&lt;=K37,1,ROUNDDOWN((IF(L40&lt;K37,I34/K37,D40)),0))</f>
        <v>#DIV/0!</v>
      </c>
    </row>
    <row r="40" spans="1:12" ht="50.1" customHeight="1" x14ac:dyDescent="0.25">
      <c r="A40" s="1"/>
      <c r="B40" s="121" t="s">
        <v>46</v>
      </c>
      <c r="C40" s="122"/>
      <c r="D40" s="125"/>
      <c r="E40" s="127" t="s">
        <v>47</v>
      </c>
      <c r="F40" s="127"/>
      <c r="G40" s="127" t="e">
        <f>L39</f>
        <v>#DIV/0!</v>
      </c>
      <c r="H40" s="129" t="s">
        <v>48</v>
      </c>
      <c r="I40" s="130"/>
      <c r="L40" s="35" t="e">
        <f>I34/D40</f>
        <v>#DIV/0!</v>
      </c>
    </row>
    <row r="41" spans="1:12" ht="50.1" customHeight="1" thickBot="1" x14ac:dyDescent="0.3">
      <c r="A41" s="1"/>
      <c r="B41" s="123"/>
      <c r="C41" s="124"/>
      <c r="D41" s="126"/>
      <c r="E41" s="128"/>
      <c r="F41" s="128"/>
      <c r="G41" s="128"/>
      <c r="H41" s="131" t="e">
        <f>SUM(C44:C58,E44:E58,G44:G58,I44:I58)</f>
        <v>#DIV/0!</v>
      </c>
      <c r="I41" s="132"/>
    </row>
    <row r="42" spans="1:12" ht="12" customHeight="1" thickBot="1" x14ac:dyDescent="0.3">
      <c r="A42" s="1"/>
      <c r="B42" s="33"/>
      <c r="C42" s="33"/>
      <c r="D42" s="33"/>
      <c r="E42" s="33"/>
      <c r="F42" s="33"/>
      <c r="G42" s="33"/>
      <c r="H42" s="33"/>
      <c r="I42" s="34"/>
    </row>
    <row r="43" spans="1:12" ht="50.1" customHeight="1" x14ac:dyDescent="0.25">
      <c r="A43" s="1"/>
      <c r="B43" s="61" t="s">
        <v>49</v>
      </c>
      <c r="C43" s="62"/>
      <c r="D43" s="62"/>
      <c r="E43" s="62"/>
      <c r="F43" s="62"/>
      <c r="G43" s="62"/>
      <c r="H43" s="62"/>
      <c r="I43" s="117"/>
    </row>
    <row r="44" spans="1:12" ht="50.1" customHeight="1" x14ac:dyDescent="0.25">
      <c r="A44" s="1"/>
      <c r="B44" s="36" t="s">
        <v>50</v>
      </c>
      <c r="C44" s="37" t="e">
        <f>IF(G40=1,H37,(H37/G40)+0.01*H37)</f>
        <v>#DIV/0!</v>
      </c>
      <c r="D44" s="38" t="s">
        <v>51</v>
      </c>
      <c r="E44" s="37" t="e">
        <f>IF(G40&gt;=16,H37/G40+0.01*(H37-15*L40),0)</f>
        <v>#DIV/0!</v>
      </c>
      <c r="F44" s="38" t="s">
        <v>52</v>
      </c>
      <c r="G44" s="37" t="e">
        <f>IF(G40&gt;=31,H37/G40+0.01*(H37-30*L40),0)</f>
        <v>#DIV/0!</v>
      </c>
      <c r="H44" s="38" t="s">
        <v>53</v>
      </c>
      <c r="I44" s="39" t="e">
        <f>IF(G40&gt;=46,H37/G40+0.01*(H37-45*L40),0)</f>
        <v>#DIV/0!</v>
      </c>
    </row>
    <row r="45" spans="1:12" ht="50.1" customHeight="1" x14ac:dyDescent="0.25">
      <c r="A45" s="1"/>
      <c r="B45" s="36" t="s">
        <v>54</v>
      </c>
      <c r="C45" s="37" t="e">
        <f>IF(G40&gt;=2,H37/G40+0.01*(H37-L40),0)</f>
        <v>#DIV/0!</v>
      </c>
      <c r="D45" s="38" t="s">
        <v>55</v>
      </c>
      <c r="E45" s="37" t="e">
        <f>IF(G40&gt;=17,H37/G40+0.01*(H37-16*L40),0)</f>
        <v>#DIV/0!</v>
      </c>
      <c r="F45" s="38" t="s">
        <v>56</v>
      </c>
      <c r="G45" s="37" t="e">
        <f>IF(G40&gt;=32,H37/G40+0.01*(H37-31*L40),0)</f>
        <v>#DIV/0!</v>
      </c>
      <c r="H45" s="38" t="s">
        <v>57</v>
      </c>
      <c r="I45" s="39" t="e">
        <f>IF(G40&gt;=47,H37/G40+0.01*(H37-46*L40),0)</f>
        <v>#DIV/0!</v>
      </c>
    </row>
    <row r="46" spans="1:12" ht="50.1" customHeight="1" x14ac:dyDescent="0.25">
      <c r="A46" s="1"/>
      <c r="B46" s="36" t="s">
        <v>58</v>
      </c>
      <c r="C46" s="37" t="e">
        <f>IF(G40&gt;=3,H37/G40+0.01*(H37-2*L40),0)</f>
        <v>#DIV/0!</v>
      </c>
      <c r="D46" s="38" t="s">
        <v>59</v>
      </c>
      <c r="E46" s="37" t="e">
        <f>IF(G40&gt;=18,H37/G40+0.01*(H37-17*L40),0)</f>
        <v>#DIV/0!</v>
      </c>
      <c r="F46" s="38" t="s">
        <v>60</v>
      </c>
      <c r="G46" s="37" t="e">
        <f>IF(G40&gt;=33,H37/G40+0.01*(H37-32*L40),0)</f>
        <v>#DIV/0!</v>
      </c>
      <c r="H46" s="38" t="s">
        <v>61</v>
      </c>
      <c r="I46" s="39" t="e">
        <f>IF(G40&gt;=48,H37/G40+0.01*(H37-47*L40),0)</f>
        <v>#DIV/0!</v>
      </c>
    </row>
    <row r="47" spans="1:12" ht="50.1" customHeight="1" x14ac:dyDescent="0.25">
      <c r="A47" s="1"/>
      <c r="B47" s="36" t="s">
        <v>62</v>
      </c>
      <c r="C47" s="37" t="e">
        <f>IF(G40&gt;=4,H37/G40+0.01*(H37-3*L40),0)</f>
        <v>#DIV/0!</v>
      </c>
      <c r="D47" s="38" t="s">
        <v>63</v>
      </c>
      <c r="E47" s="37" t="e">
        <f>IF(G40&gt;=19,H37/G40+0.01*(H37-18*L40),0)</f>
        <v>#DIV/0!</v>
      </c>
      <c r="F47" s="38" t="s">
        <v>64</v>
      </c>
      <c r="G47" s="37" t="e">
        <f>IF(G40&gt;=34,H37/G40+0.01*(H37-33*L40),0)</f>
        <v>#DIV/0!</v>
      </c>
      <c r="H47" s="38" t="s">
        <v>65</v>
      </c>
      <c r="I47" s="39" t="e">
        <f>IF(G40&gt;=49,H37/G40+0.01*(H37-48*L40),0)</f>
        <v>#DIV/0!</v>
      </c>
    </row>
    <row r="48" spans="1:12" ht="50.1" customHeight="1" x14ac:dyDescent="0.25">
      <c r="A48" s="1"/>
      <c r="B48" s="36" t="s">
        <v>66</v>
      </c>
      <c r="C48" s="37" t="e">
        <f>IF(G40&gt;=5,H37/G40+0.01*(H37-4*L40),0)</f>
        <v>#DIV/0!</v>
      </c>
      <c r="D48" s="38" t="s">
        <v>67</v>
      </c>
      <c r="E48" s="37" t="e">
        <f>IF(G40&gt;=20,H37/G40+0.01*(H37-19*L40),0)</f>
        <v>#DIV/0!</v>
      </c>
      <c r="F48" s="38" t="s">
        <v>68</v>
      </c>
      <c r="G48" s="37" t="e">
        <f>IF(G40&gt;=35,H37/G40+0.01*(H37-34*L40),0)</f>
        <v>#DIV/0!</v>
      </c>
      <c r="H48" s="38" t="s">
        <v>69</v>
      </c>
      <c r="I48" s="39" t="e">
        <f>IF(G40&gt;=50,H37/G40+0.01*(H37-49*L40),0)</f>
        <v>#DIV/0!</v>
      </c>
    </row>
    <row r="49" spans="1:9" ht="50.1" customHeight="1" x14ac:dyDescent="0.25">
      <c r="A49" s="1"/>
      <c r="B49" s="36" t="s">
        <v>70</v>
      </c>
      <c r="C49" s="37" t="e">
        <f>IF(G40&gt;=6,H37/G40+0.01*(H37-5*L40),0)</f>
        <v>#DIV/0!</v>
      </c>
      <c r="D49" s="38" t="s">
        <v>71</v>
      </c>
      <c r="E49" s="37" t="e">
        <f>IF(G40&gt;=21,H37/G40+0.01*(H37-20*L40),0)</f>
        <v>#DIV/0!</v>
      </c>
      <c r="F49" s="38" t="s">
        <v>72</v>
      </c>
      <c r="G49" s="37" t="e">
        <f>IF(G40&gt;=36,H37/G40+0.01*(H37-35*L40),0)</f>
        <v>#DIV/0!</v>
      </c>
      <c r="H49" s="38" t="s">
        <v>73</v>
      </c>
      <c r="I49" s="39" t="e">
        <f>IF(G40&gt;=51,H37/G40+0.01*(H37-50*L40),0)</f>
        <v>#DIV/0!</v>
      </c>
    </row>
    <row r="50" spans="1:9" ht="50.1" customHeight="1" x14ac:dyDescent="0.25">
      <c r="A50" s="1"/>
      <c r="B50" s="36" t="s">
        <v>74</v>
      </c>
      <c r="C50" s="37" t="e">
        <f>IF(G40&gt;=7,H37/G40+0.01*(H37-6*L40),0)</f>
        <v>#DIV/0!</v>
      </c>
      <c r="D50" s="38" t="s">
        <v>75</v>
      </c>
      <c r="E50" s="37" t="e">
        <f>IF(G40&gt;=22,H37/G40+0.01*(H37-21*L40),0)</f>
        <v>#DIV/0!</v>
      </c>
      <c r="F50" s="38" t="s">
        <v>76</v>
      </c>
      <c r="G50" s="37" t="e">
        <f>IF(G40&gt;=37,H37/G40+0.01*(H37-36*L40),0)</f>
        <v>#DIV/0!</v>
      </c>
      <c r="H50" s="38" t="s">
        <v>77</v>
      </c>
      <c r="I50" s="39" t="e">
        <f>IF(G40&gt;=52,H37/G40+0.01*(H37-51*L40),0)</f>
        <v>#DIV/0!</v>
      </c>
    </row>
    <row r="51" spans="1:9" ht="50.1" customHeight="1" x14ac:dyDescent="0.25">
      <c r="A51" s="1"/>
      <c r="B51" s="36" t="s">
        <v>78</v>
      </c>
      <c r="C51" s="37" t="e">
        <f>IF(G40&gt;=8,H37/G40+0.01*(H37-7*L40),0)</f>
        <v>#DIV/0!</v>
      </c>
      <c r="D51" s="38" t="s">
        <v>79</v>
      </c>
      <c r="E51" s="37" t="e">
        <f>IF(G40&gt;=23,H37/G40+0.01*(H37-22*L40),0)</f>
        <v>#DIV/0!</v>
      </c>
      <c r="F51" s="38" t="s">
        <v>80</v>
      </c>
      <c r="G51" s="37" t="e">
        <f>IF(G40&gt;=38,H37/G40+0.01*(H37-37*L40),0)</f>
        <v>#DIV/0!</v>
      </c>
      <c r="H51" s="38" t="s">
        <v>81</v>
      </c>
      <c r="I51" s="39" t="e">
        <f>IF(G40&gt;=53,H37/G40+0.01*(H37-52*L40),0)</f>
        <v>#DIV/0!</v>
      </c>
    </row>
    <row r="52" spans="1:9" ht="50.1" customHeight="1" x14ac:dyDescent="0.25">
      <c r="A52" s="1"/>
      <c r="B52" s="36" t="s">
        <v>82</v>
      </c>
      <c r="C52" s="40" t="e">
        <f>IF(G40&gt;=9,H37/G40+0.01*(H37-8*L40),0)</f>
        <v>#DIV/0!</v>
      </c>
      <c r="D52" s="38" t="s">
        <v>83</v>
      </c>
      <c r="E52" s="37" t="e">
        <f>IF(G40&gt;=24,H37/G40+0.01*(H37-23*L40),0)</f>
        <v>#DIV/0!</v>
      </c>
      <c r="F52" s="38" t="s">
        <v>84</v>
      </c>
      <c r="G52" s="37" t="e">
        <f>IF(G40&gt;=39,H37/G40+0.01*(H37-38*L40),0)</f>
        <v>#DIV/0!</v>
      </c>
      <c r="H52" s="38" t="s">
        <v>85</v>
      </c>
      <c r="I52" s="39" t="e">
        <f>IF(G40&gt;=54,H37/G40+0.01*(H37-53*L40),0)</f>
        <v>#DIV/0!</v>
      </c>
    </row>
    <row r="53" spans="1:9" ht="50.1" customHeight="1" x14ac:dyDescent="0.25">
      <c r="A53" s="1"/>
      <c r="B53" s="36" t="s">
        <v>86</v>
      </c>
      <c r="C53" s="41" t="e">
        <f>IF(G40&gt;=10,H37/G40+0.01*(H37-9*L40),0)</f>
        <v>#DIV/0!</v>
      </c>
      <c r="D53" s="38" t="s">
        <v>87</v>
      </c>
      <c r="E53" s="37" t="e">
        <f>IF(G40&gt;=25,H37/G40+0.01*(H37-24*L40),0)</f>
        <v>#DIV/0!</v>
      </c>
      <c r="F53" s="38" t="s">
        <v>88</v>
      </c>
      <c r="G53" s="37" t="e">
        <f>IF(G40&gt;=40,H37/G40+0.01*(H37-39*L40),0)</f>
        <v>#DIV/0!</v>
      </c>
      <c r="H53" s="38" t="s">
        <v>89</v>
      </c>
      <c r="I53" s="39" t="e">
        <f>IF(G40&gt;=55,H37/G40+0.01*(H37-54*L40),0)</f>
        <v>#DIV/0!</v>
      </c>
    </row>
    <row r="54" spans="1:9" ht="50.1" customHeight="1" x14ac:dyDescent="0.25">
      <c r="A54" s="1"/>
      <c r="B54" s="36" t="s">
        <v>90</v>
      </c>
      <c r="C54" s="37" t="e">
        <f>IF(G40&gt;=11,H37/G40+0.01*(H37-10*L40),0)</f>
        <v>#DIV/0!</v>
      </c>
      <c r="D54" s="38" t="s">
        <v>91</v>
      </c>
      <c r="E54" s="37" t="e">
        <f>IF(G40&gt;=26,H37/G40+0.01*(H37-25*L40),0)</f>
        <v>#DIV/0!</v>
      </c>
      <c r="F54" s="38" t="s">
        <v>92</v>
      </c>
      <c r="G54" s="37" t="e">
        <f>IF(G40&gt;=41,H37/G40+0.01*(H37-40*L40),0)</f>
        <v>#DIV/0!</v>
      </c>
      <c r="H54" s="38" t="s">
        <v>93</v>
      </c>
      <c r="I54" s="39" t="e">
        <f>IF(G40&gt;=56,H37/G40+0.01*(H37-55*L40),0)</f>
        <v>#DIV/0!</v>
      </c>
    </row>
    <row r="55" spans="1:9" ht="50.1" customHeight="1" x14ac:dyDescent="0.25">
      <c r="A55" s="1"/>
      <c r="B55" s="36" t="s">
        <v>94</v>
      </c>
      <c r="C55" s="37" t="e">
        <f>IF(G40&gt;=12,H37/G40+0.01*(H37-11*L40),0)</f>
        <v>#DIV/0!</v>
      </c>
      <c r="D55" s="38" t="s">
        <v>95</v>
      </c>
      <c r="E55" s="37" t="e">
        <f>IF(G40&gt;=27,H37/G40+0.01*(H37-26*L40),0)</f>
        <v>#DIV/0!</v>
      </c>
      <c r="F55" s="38" t="s">
        <v>96</v>
      </c>
      <c r="G55" s="37" t="e">
        <f>IF(G40&gt;=42,H37/G40+0.01*(H37-41*L40),0)</f>
        <v>#DIV/0!</v>
      </c>
      <c r="H55" s="38" t="s">
        <v>97</v>
      </c>
      <c r="I55" s="39" t="e">
        <f>IF(G40&gt;=57,H37/G40+0.01*(H37-56*L40),0)</f>
        <v>#DIV/0!</v>
      </c>
    </row>
    <row r="56" spans="1:9" ht="50.1" customHeight="1" x14ac:dyDescent="0.25">
      <c r="A56" s="1"/>
      <c r="B56" s="36" t="s">
        <v>98</v>
      </c>
      <c r="C56" s="37" t="e">
        <f>IF(G40&gt;=13,H37/G40+0.01*(H37-12*L40),0)</f>
        <v>#DIV/0!</v>
      </c>
      <c r="D56" s="38" t="s">
        <v>99</v>
      </c>
      <c r="E56" s="37" t="e">
        <f>IF(G40&gt;=28,H37/G40+0.01*(H37-27*L40),0)</f>
        <v>#DIV/0!</v>
      </c>
      <c r="F56" s="38" t="s">
        <v>100</v>
      </c>
      <c r="G56" s="37" t="e">
        <f>IF(G40&gt;=43,H37/G40+0.01*(H37-42*L40),0)</f>
        <v>#DIV/0!</v>
      </c>
      <c r="H56" s="38" t="s">
        <v>101</v>
      </c>
      <c r="I56" s="39" t="e">
        <f>IF(G40&gt;=58,H37/G40+0.01*(H37-57*L40),0)</f>
        <v>#DIV/0!</v>
      </c>
    </row>
    <row r="57" spans="1:9" ht="50.1" customHeight="1" x14ac:dyDescent="0.25">
      <c r="A57" s="1"/>
      <c r="B57" s="36" t="s">
        <v>102</v>
      </c>
      <c r="C57" s="37" t="e">
        <f>IF(G40&gt;=14,H37/G40+0.01*(H37-13*L40),0)</f>
        <v>#DIV/0!</v>
      </c>
      <c r="D57" s="38" t="s">
        <v>103</v>
      </c>
      <c r="E57" s="37" t="e">
        <f>IF(G40&gt;=29,H37/G40+0.01*(H37-28*L40),0)</f>
        <v>#DIV/0!</v>
      </c>
      <c r="F57" s="38" t="s">
        <v>104</v>
      </c>
      <c r="G57" s="37" t="e">
        <f>IF(G40&gt;=44,H37/G40+0.01*(H37-43*L40),0)</f>
        <v>#DIV/0!</v>
      </c>
      <c r="H57" s="38" t="s">
        <v>105</v>
      </c>
      <c r="I57" s="39" t="e">
        <f>IF(G40&gt;=59,H37/G40+0.01*(H37-58*L40),0)</f>
        <v>#DIV/0!</v>
      </c>
    </row>
    <row r="58" spans="1:9" ht="50.1" customHeight="1" thickBot="1" x14ac:dyDescent="0.3">
      <c r="A58" s="1"/>
      <c r="B58" s="42" t="s">
        <v>106</v>
      </c>
      <c r="C58" s="43" t="e">
        <f>IF(G40&gt;=15,H37/G40+0.01*(H37-14*L40),0)</f>
        <v>#DIV/0!</v>
      </c>
      <c r="D58" s="44" t="s">
        <v>107</v>
      </c>
      <c r="E58" s="37" t="e">
        <f>IF(G40&gt;=30,H37/G40+0.01*(H37-29*L40),0)</f>
        <v>#DIV/0!</v>
      </c>
      <c r="F58" s="44" t="s">
        <v>108</v>
      </c>
      <c r="G58" s="43" t="e">
        <f>IF(G40&gt;=45,H37/G40+0.01*(H37-44*L40),0)</f>
        <v>#DIV/0!</v>
      </c>
      <c r="H58" s="44" t="s">
        <v>109</v>
      </c>
      <c r="I58" s="45" t="e">
        <f>IF(G40&gt;=60,H37/G40+0.01*(H37-59*L40),0)</f>
        <v>#DIV/0!</v>
      </c>
    </row>
    <row r="59" spans="1:9" ht="12" customHeight="1" thickBot="1" x14ac:dyDescent="0.55000000000000004">
      <c r="A59" s="1"/>
      <c r="B59" s="1"/>
      <c r="C59" s="1"/>
      <c r="D59" s="1"/>
      <c r="E59" s="1"/>
      <c r="F59" s="1"/>
      <c r="G59" s="46"/>
      <c r="H59" s="47"/>
      <c r="I59" s="48"/>
    </row>
    <row r="60" spans="1:9" ht="156" customHeight="1" x14ac:dyDescent="0.25">
      <c r="A60" s="1"/>
      <c r="B60" s="49"/>
      <c r="C60" s="50"/>
      <c r="D60" s="51"/>
      <c r="E60" s="51"/>
      <c r="F60" s="51"/>
      <c r="G60" s="51"/>
      <c r="H60" s="50"/>
      <c r="I60" s="52"/>
    </row>
    <row r="61" spans="1:9" ht="50.1" customHeight="1" thickBot="1" x14ac:dyDescent="0.3">
      <c r="A61" s="1"/>
      <c r="B61" s="118" t="s">
        <v>110</v>
      </c>
      <c r="C61" s="119"/>
      <c r="D61" s="119"/>
      <c r="E61" s="119"/>
      <c r="F61" s="119"/>
      <c r="G61" s="119"/>
      <c r="H61" s="119"/>
      <c r="I61" s="120"/>
    </row>
  </sheetData>
  <sheetProtection password="C75C" sheet="1" objects="1" scenarios="1"/>
  <mergeCells count="56">
    <mergeCell ref="B43:I43"/>
    <mergeCell ref="B61:I61"/>
    <mergeCell ref="B40:C41"/>
    <mergeCell ref="D40:D41"/>
    <mergeCell ref="E40:F41"/>
    <mergeCell ref="G40:G41"/>
    <mergeCell ref="H40:I40"/>
    <mergeCell ref="H41:I41"/>
    <mergeCell ref="B39:I39"/>
    <mergeCell ref="B28:D28"/>
    <mergeCell ref="F28:H28"/>
    <mergeCell ref="B29:D29"/>
    <mergeCell ref="F29:H29"/>
    <mergeCell ref="B31:D31"/>
    <mergeCell ref="F31:H31"/>
    <mergeCell ref="C33:E33"/>
    <mergeCell ref="F33:H33"/>
    <mergeCell ref="I34:I35"/>
    <mergeCell ref="B37:G37"/>
    <mergeCell ref="H37:I37"/>
    <mergeCell ref="B30:D30"/>
    <mergeCell ref="F30:H30"/>
    <mergeCell ref="B25:D25"/>
    <mergeCell ref="F25:H25"/>
    <mergeCell ref="B26:D26"/>
    <mergeCell ref="F26:H26"/>
    <mergeCell ref="B27:D27"/>
    <mergeCell ref="F27:H27"/>
    <mergeCell ref="B22:D22"/>
    <mergeCell ref="B23:D23"/>
    <mergeCell ref="F23:H23"/>
    <mergeCell ref="B24:D24"/>
    <mergeCell ref="F22:H22"/>
    <mergeCell ref="F24:H24"/>
    <mergeCell ref="B19:D19"/>
    <mergeCell ref="F19:H19"/>
    <mergeCell ref="B20:D20"/>
    <mergeCell ref="F20:H20"/>
    <mergeCell ref="B21:D21"/>
    <mergeCell ref="F21:H21"/>
    <mergeCell ref="M1:XFD1048576"/>
    <mergeCell ref="A62:I1048576"/>
    <mergeCell ref="B16:D16"/>
    <mergeCell ref="F16:F17"/>
    <mergeCell ref="B17:D17"/>
    <mergeCell ref="B1:I1"/>
    <mergeCell ref="B3:C3"/>
    <mergeCell ref="D3:F3"/>
    <mergeCell ref="G3:H3"/>
    <mergeCell ref="D5:E5"/>
    <mergeCell ref="H5:I5"/>
    <mergeCell ref="F7:H7"/>
    <mergeCell ref="B9:D13"/>
    <mergeCell ref="G9:I9"/>
    <mergeCell ref="G10:I13"/>
    <mergeCell ref="B15:I15"/>
  </mergeCells>
  <dataValidations count="4">
    <dataValidation type="custom" allowBlank="1" showInputMessage="1" showErrorMessage="1" error="Não é possível ser Pessoa Jurídica e Física ao mesmo tempo." sqref="D5:E5">
      <formula1>ISTEXT(H5)</formula1>
    </dataValidation>
    <dataValidation type="custom" allowBlank="1" showInputMessage="1" showErrorMessage="1" error="Não é possível ser Pessoa Jurídica e Física ao mesmo tempo." sqref="H5:I5">
      <formula1>ISTEXT(D5)</formula1>
    </dataValidation>
    <dataValidation type="whole" allowBlank="1" showInputMessage="1" showErrorMessage="1" error="O número de parcelas pemitidas varia de 1 a 60." sqref="D40:D41">
      <formula1>1</formula1>
      <formula2>60</formula2>
    </dataValidation>
    <dataValidation type="list" allowBlank="1" showInputMessage="1" showErrorMessage="1" error="Só serão permitidos valores de referência iguais a 1 ou 0,75 ou 0,50 ou 0,25." sqref="G10:I13">
      <formula1>$F$10:$F$13</formula1>
    </dataValidation>
  </dataValidations>
  <pageMargins left="0.511811024" right="0.511811024" top="0.78740157499999996" bottom="0.78740157499999996" header="0.31496062000000002" footer="0.31496062000000002"/>
  <pageSetup scale="2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Andreia</dc:creator>
  <cp:lastModifiedBy>Alexssander De Pin</cp:lastModifiedBy>
  <cp:lastPrinted>2017-10-05T00:06:32Z</cp:lastPrinted>
  <dcterms:created xsi:type="dcterms:W3CDTF">2017-10-05T00:05:38Z</dcterms:created>
  <dcterms:modified xsi:type="dcterms:W3CDTF">2026-04-15T19:53:02Z</dcterms:modified>
</cp:coreProperties>
</file>